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095" windowHeight="9435"/>
  </bookViews>
  <sheets>
    <sheet name="USA CG Calc" sheetId="1" r:id="rId1"/>
  </sheets>
  <calcPr calcId="145621"/>
</workbook>
</file>

<file path=xl/calcChain.xml><?xml version="1.0" encoding="utf-8"?>
<calcChain xmlns="http://schemas.openxmlformats.org/spreadsheetml/2006/main">
  <c r="G50" i="1" l="1"/>
  <c r="G51" i="1" s="1"/>
  <c r="G53" i="1" s="1"/>
  <c r="E53" i="1" s="1"/>
  <c r="E50" i="1"/>
  <c r="I49" i="1"/>
  <c r="G42" i="1"/>
  <c r="I42" i="1" s="1"/>
  <c r="E42" i="1"/>
  <c r="G41" i="1"/>
  <c r="E41" i="1"/>
  <c r="I40" i="1"/>
  <c r="G33" i="1"/>
  <c r="I33" i="1" s="1"/>
  <c r="E33" i="1"/>
  <c r="G32" i="1"/>
  <c r="E32" i="1"/>
  <c r="I31" i="1"/>
  <c r="N29" i="1"/>
  <c r="K29" i="1"/>
  <c r="L29" i="1" s="1"/>
  <c r="L28" i="1"/>
  <c r="G24" i="1"/>
  <c r="I24" i="1" s="1"/>
  <c r="E24" i="1"/>
  <c r="G23" i="1"/>
  <c r="I23" i="1" s="1"/>
  <c r="E23" i="1"/>
  <c r="I22" i="1"/>
  <c r="N20" i="1"/>
  <c r="K20" i="1"/>
  <c r="L20" i="1" s="1"/>
  <c r="M19" i="1" s="1"/>
  <c r="L19" i="1"/>
  <c r="G15" i="1"/>
  <c r="I15" i="1" s="1"/>
  <c r="E15" i="1"/>
  <c r="G14" i="1"/>
  <c r="E14" i="1"/>
  <c r="I13" i="1"/>
  <c r="N11" i="1"/>
  <c r="K11" i="1"/>
  <c r="L10" i="1"/>
  <c r="L11" i="1" s="1"/>
  <c r="M10" i="1" s="1"/>
  <c r="G6" i="1"/>
  <c r="I6" i="1" s="1"/>
  <c r="E6" i="1"/>
  <c r="B6" i="1"/>
  <c r="G5" i="1"/>
  <c r="E5" i="1"/>
  <c r="C5" i="1"/>
  <c r="I4" i="1"/>
  <c r="G43" i="1" l="1"/>
  <c r="G45" i="1" s="1"/>
  <c r="E45" i="1" s="1"/>
  <c r="G7" i="1"/>
  <c r="G9" i="1" s="1"/>
  <c r="E9" i="1" s="1"/>
  <c r="G25" i="1"/>
  <c r="G27" i="1" s="1"/>
  <c r="E27" i="1" s="1"/>
  <c r="I5" i="1"/>
  <c r="I7" i="1" s="1"/>
  <c r="G16" i="1"/>
  <c r="G18" i="1" s="1"/>
  <c r="E18" i="1" s="1"/>
  <c r="G34" i="1"/>
  <c r="G36" i="1" s="1"/>
  <c r="E36" i="1" s="1"/>
  <c r="I50" i="1"/>
  <c r="I51" i="1" s="1"/>
  <c r="J51" i="1" s="1"/>
  <c r="E55" i="1" s="1"/>
  <c r="F55" i="1" s="1"/>
  <c r="I25" i="1"/>
  <c r="M29" i="1"/>
  <c r="N28" i="1" s="1"/>
  <c r="M28" i="1"/>
  <c r="M11" i="1"/>
  <c r="N10" i="1" s="1"/>
  <c r="I14" i="1"/>
  <c r="I16" i="1" s="1"/>
  <c r="M20" i="1"/>
  <c r="N19" i="1" s="1"/>
  <c r="I41" i="1"/>
  <c r="I43" i="1" s="1"/>
  <c r="J43" i="1" s="1"/>
  <c r="E47" i="1" s="1"/>
  <c r="F47" i="1" s="1"/>
  <c r="I32" i="1"/>
  <c r="I34" i="1" s="1"/>
  <c r="J34" i="1" l="1"/>
  <c r="E38" i="1" s="1"/>
  <c r="F38" i="1" s="1"/>
  <c r="J7" i="1"/>
  <c r="E11" i="1" s="1"/>
  <c r="F11" i="1" s="1"/>
  <c r="J25" i="1"/>
  <c r="E29" i="1" s="1"/>
  <c r="F29" i="1" s="1"/>
  <c r="C6" i="1"/>
  <c r="J16" i="1"/>
  <c r="E20" i="1" s="1"/>
  <c r="F20" i="1" s="1"/>
</calcChain>
</file>

<file path=xl/sharedStrings.xml><?xml version="1.0" encoding="utf-8"?>
<sst xmlns="http://schemas.openxmlformats.org/spreadsheetml/2006/main" count="106" uniqueCount="49">
  <si>
    <t xml:space="preserve">USA Weight &amp; Balance Calculator </t>
  </si>
  <si>
    <t xml:space="preserve">Enter Weights Here </t>
  </si>
  <si>
    <t xml:space="preserve">General Warnings </t>
  </si>
  <si>
    <t xml:space="preserve">Notes </t>
  </si>
  <si>
    <t>CG Incr</t>
  </si>
  <si>
    <t>Bott 1/3</t>
  </si>
  <si>
    <t>Mid 1/3</t>
  </si>
  <si>
    <t>Aft 1/3</t>
  </si>
  <si>
    <t xml:space="preserve">Front Seat Weight </t>
  </si>
  <si>
    <t>Weight &amp; Balance from 05-12-2011</t>
  </si>
  <si>
    <t>N4446Y</t>
  </si>
  <si>
    <t>Empty Weight</t>
  </si>
  <si>
    <t xml:space="preserve">Back Seat Weight </t>
  </si>
  <si>
    <t>Front Seat</t>
  </si>
  <si>
    <t xml:space="preserve">Total Weight </t>
  </si>
  <si>
    <t>Rear Seat</t>
  </si>
  <si>
    <t>C.G.</t>
  </si>
  <si>
    <t>Total Weight</t>
  </si>
  <si>
    <t xml:space="preserve">Minimum solo pilot weight front s\eat </t>
  </si>
  <si>
    <t>lbs for 46Y, 813 and 85W</t>
  </si>
  <si>
    <t>Max Weight</t>
  </si>
  <si>
    <t xml:space="preserve">Minimum solo pilot weight front seat </t>
  </si>
  <si>
    <t>lbs for 8BG</t>
  </si>
  <si>
    <t>Remaining Wt.</t>
  </si>
  <si>
    <t>lbs for 0PX</t>
  </si>
  <si>
    <t>CG Range % - 0% forward 100% aft</t>
  </si>
  <si>
    <t>Forward C.G. Limit</t>
  </si>
  <si>
    <t>Aft C.G. Limit</t>
  </si>
  <si>
    <t xml:space="preserve">Max structural weight limit in each seat </t>
  </si>
  <si>
    <t>lbs</t>
  </si>
  <si>
    <t>C.G. Range</t>
  </si>
  <si>
    <t>Club parachute</t>
  </si>
  <si>
    <t xml:space="preserve">lbs each </t>
  </si>
  <si>
    <t xml:space="preserve">Ballast weights (Twin II only)   </t>
  </si>
  <si>
    <t>Weight &amp; Balance from  05-24-2016</t>
  </si>
  <si>
    <t>N80PX</t>
  </si>
  <si>
    <t xml:space="preserve">Ballast weights at moment equal to (Twin II only) </t>
  </si>
  <si>
    <t>*Remember to use total weight in each seat (pilot, parachute, supplies and ballast).</t>
  </si>
  <si>
    <t>Weight &amp; Balance from 06-30-2011</t>
  </si>
  <si>
    <t>N228BG</t>
  </si>
  <si>
    <t>Weight x Arm = Moment, Total Moment divided by the Total Weight equals the C.G.</t>
  </si>
  <si>
    <t>Weight &amp; Balance from 10-17-2013</t>
  </si>
  <si>
    <t>N8485W</t>
  </si>
  <si>
    <t>Weight &amp; Balance from 03-04-2018</t>
  </si>
  <si>
    <t>N7813</t>
  </si>
  <si>
    <t>code=usa</t>
  </si>
  <si>
    <t>N65332</t>
  </si>
  <si>
    <t>lbs for 332</t>
  </si>
  <si>
    <t>Weight &amp; Balance from 08-17-2018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</si>
</sst>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[Red]\(0\)"/>
    <numFmt numFmtId="165" formatCode="0.0%"/>
  </numFmts>
  <fonts count="23">
    <font>
      <sz val="10"/>
      <name val="Arial"/>
      <charset val="134"/>
    </font>
    <font>
      <b/>
      <sz val="16"/>
      <name val="Arial"/>
      <family val="2"/>
    </font>
    <font>
      <b/>
      <i/>
      <sz val="14"/>
      <color indexed="60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8"/>
      <color indexed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i/>
      <sz val="12"/>
      <name val="Times New Roman"/>
      <family val="1"/>
    </font>
    <font>
      <sz val="12"/>
      <color indexed="17"/>
      <name val="Arial"/>
      <family val="2"/>
    </font>
    <font>
      <sz val="8"/>
      <color indexed="4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0" fontId="4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Protection="1"/>
    <xf numFmtId="0" fontId="6" fillId="2" borderId="2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 vertical="center"/>
    </xf>
    <xf numFmtId="0" fontId="8" fillId="0" borderId="5" xfId="2" applyBorder="1" applyAlignment="1" applyProtection="1">
      <alignment horizontal="left" vertical="center" indent="1"/>
    </xf>
    <xf numFmtId="1" fontId="8" fillId="0" borderId="6" xfId="2" applyNumberFormat="1" applyBorder="1" applyAlignment="1" applyProtection="1">
      <alignment horizontal="center" vertical="center"/>
    </xf>
    <xf numFmtId="2" fontId="8" fillId="0" borderId="6" xfId="2" applyNumberFormat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9" xfId="2" applyBorder="1" applyAlignment="1" applyProtection="1">
      <alignment horizontal="left" vertical="center" indent="1"/>
    </xf>
    <xf numFmtId="1" fontId="8" fillId="2" borderId="1" xfId="2" applyNumberFormat="1" applyFill="1" applyBorder="1" applyAlignment="1" applyProtection="1">
      <alignment horizontal="center" vertical="center"/>
    </xf>
    <xf numFmtId="2" fontId="8" fillId="0" borderId="1" xfId="2" applyNumberForma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/>
    </xf>
    <xf numFmtId="0" fontId="6" fillId="0" borderId="10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1" fontId="8" fillId="0" borderId="1" xfId="2" applyNumberForma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/>
    <xf numFmtId="0" fontId="10" fillId="0" borderId="11" xfId="0" applyFont="1" applyBorder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13" fillId="0" borderId="11" xfId="0" applyFont="1" applyBorder="1" applyAlignment="1" applyProtection="1">
      <alignment horizontal="center"/>
    </xf>
    <xf numFmtId="0" fontId="14" fillId="0" borderId="9" xfId="2" applyFont="1" applyBorder="1" applyAlignment="1" applyProtection="1">
      <alignment horizontal="left" vertical="center" indent="1"/>
    </xf>
    <xf numFmtId="164" fontId="15" fillId="2" borderId="1" xfId="2" applyNumberFormat="1" applyFont="1" applyFill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/>
    </xf>
    <xf numFmtId="0" fontId="17" fillId="0" borderId="9" xfId="2" applyFont="1" applyBorder="1" applyAlignment="1" applyProtection="1">
      <alignment horizontal="left" vertical="center" indent="1"/>
    </xf>
    <xf numFmtId="2" fontId="18" fillId="0" borderId="1" xfId="2" applyNumberFormat="1" applyFont="1" applyBorder="1" applyAlignment="1" applyProtection="1">
      <alignment horizontal="right" vertical="center"/>
    </xf>
    <xf numFmtId="165" fontId="8" fillId="4" borderId="13" xfId="1" applyNumberFormat="1" applyFont="1" applyFill="1" applyBorder="1" applyAlignment="1" applyProtection="1">
      <alignment horizontal="center" vertical="center"/>
    </xf>
    <xf numFmtId="0" fontId="19" fillId="0" borderId="14" xfId="2" applyFont="1" applyBorder="1" applyAlignment="1" applyProtection="1">
      <alignment horizontal="center" vertical="center" wrapText="1"/>
    </xf>
    <xf numFmtId="1" fontId="20" fillId="4" borderId="13" xfId="2" applyNumberFormat="1" applyFont="1" applyFill="1" applyBorder="1" applyAlignment="1" applyProtection="1">
      <alignment horizontal="center" vertical="center"/>
    </xf>
    <xf numFmtId="2" fontId="20" fillId="4" borderId="13" xfId="2" applyNumberFormat="1" applyFont="1" applyFill="1" applyBorder="1" applyAlignment="1" applyProtection="1">
      <alignment horizontal="center" vertical="center"/>
    </xf>
    <xf numFmtId="0" fontId="21" fillId="0" borderId="0" xfId="0" applyFont="1" applyProtection="1"/>
    <xf numFmtId="0" fontId="9" fillId="0" borderId="0" xfId="0" applyFont="1" applyAlignment="1" applyProtection="1">
      <alignment horizontal="right" wrapText="1"/>
    </xf>
    <xf numFmtId="0" fontId="4" fillId="0" borderId="11" xfId="0" applyFont="1" applyBorder="1" applyAlignment="1" applyProtection="1">
      <alignment horizontal="center" wrapText="1"/>
    </xf>
    <xf numFmtId="0" fontId="22" fillId="0" borderId="0" xfId="0" applyFont="1" applyAlignment="1" applyProtection="1"/>
    <xf numFmtId="0" fontId="4" fillId="0" borderId="11" xfId="0" applyFont="1" applyBorder="1" applyAlignment="1" applyProtection="1">
      <alignment horizontal="center"/>
    </xf>
    <xf numFmtId="0" fontId="18" fillId="0" borderId="0" xfId="2" applyFont="1" applyAlignment="1" applyProtection="1">
      <alignment horizontal="left" vertical="center"/>
    </xf>
    <xf numFmtId="1" fontId="8" fillId="0" borderId="6" xfId="2" applyNumberFormat="1" applyFont="1" applyBorder="1" applyAlignment="1" applyProtection="1">
      <alignment horizontal="center" vertical="center"/>
    </xf>
    <xf numFmtId="4" fontId="8" fillId="0" borderId="6" xfId="2" applyNumberFormat="1" applyBorder="1" applyAlignment="1" applyProtection="1">
      <alignment horizontal="center" vertical="center"/>
    </xf>
    <xf numFmtId="2" fontId="8" fillId="0" borderId="15" xfId="2" applyNumberFormat="1" applyBorder="1" applyAlignment="1" applyProtection="1">
      <alignment horizontal="center" vertical="center"/>
    </xf>
    <xf numFmtId="4" fontId="8" fillId="0" borderId="1" xfId="2" applyNumberFormat="1" applyBorder="1" applyAlignment="1" applyProtection="1">
      <alignment horizontal="center" vertical="center"/>
    </xf>
    <xf numFmtId="2" fontId="8" fillId="0" borderId="16" xfId="2" applyNumberFormat="1" applyBorder="1" applyAlignment="1" applyProtection="1">
      <alignment horizontal="center" vertical="center"/>
    </xf>
    <xf numFmtId="2" fontId="20" fillId="2" borderId="16" xfId="2" applyNumberFormat="1" applyFont="1" applyFill="1" applyBorder="1" applyAlignment="1" applyProtection="1">
      <alignment horizontal="center" vertical="center"/>
    </xf>
    <xf numFmtId="4" fontId="18" fillId="0" borderId="1" xfId="2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4" fontId="20" fillId="4" borderId="13" xfId="2" applyNumberFormat="1" applyFont="1" applyFill="1" applyBorder="1" applyAlignment="1" applyProtection="1">
      <alignment horizontal="center" vertical="center"/>
    </xf>
    <xf numFmtId="2" fontId="8" fillId="0" borderId="17" xfId="2" applyNumberFormat="1" applyBorder="1" applyAlignment="1" applyProtection="1">
      <alignment horizontal="center" vertical="center"/>
    </xf>
    <xf numFmtId="4" fontId="0" fillId="0" borderId="0" xfId="0" applyNumberFormat="1" applyProtection="1"/>
    <xf numFmtId="0" fontId="7" fillId="0" borderId="3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62230</xdr:rowOff>
    </xdr:from>
    <xdr:to>
      <xdr:col>1</xdr:col>
      <xdr:colOff>400050</xdr:colOff>
      <xdr:row>3</xdr:row>
      <xdr:rowOff>9525</xdr:rowOff>
    </xdr:to>
    <xdr:pic>
      <xdr:nvPicPr>
        <xdr:cNvPr id="10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66950" y="31940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topLeftCell="A37" zoomScale="95" zoomScaleNormal="95" workbookViewId="0">
      <selection activeCell="D56" sqref="D56"/>
    </sheetView>
  </sheetViews>
  <sheetFormatPr defaultColWidth="8.85546875" defaultRowHeight="12.75"/>
  <cols>
    <col min="1" max="1" width="32.5703125" style="1" customWidth="1"/>
    <col min="2" max="2" width="7.28515625" style="1" customWidth="1"/>
    <col min="3" max="3" width="49.5703125" style="1" customWidth="1"/>
    <col min="4" max="4" width="13.28515625" style="1" customWidth="1"/>
    <col min="5" max="5" width="28.28515625" style="1" customWidth="1"/>
    <col min="6" max="6" width="16.7109375" style="1" customWidth="1"/>
    <col min="7" max="7" width="13.28515625" style="1" customWidth="1"/>
    <col min="8" max="8" width="10.7109375" style="1" customWidth="1"/>
    <col min="9" max="9" width="11.85546875" style="1" customWidth="1"/>
    <col min="10" max="10" width="9" style="1" customWidth="1"/>
    <col min="11" max="11" width="7.42578125" style="1" hidden="1" customWidth="1"/>
    <col min="12" max="14" width="8.85546875" style="1" hidden="1" customWidth="1"/>
    <col min="15" max="16384" width="8.85546875" style="1"/>
  </cols>
  <sheetData>
    <row r="1" spans="1:17" ht="2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7" ht="4.9000000000000004" customHeight="1"/>
    <row r="3" spans="1:17" ht="18.75">
      <c r="A3" s="4" t="s">
        <v>1</v>
      </c>
      <c r="B3" s="5"/>
      <c r="C3" s="6" t="s">
        <v>2</v>
      </c>
      <c r="D3" s="7" t="s">
        <v>3</v>
      </c>
      <c r="K3" s="23" t="s">
        <v>4</v>
      </c>
      <c r="L3" s="23" t="s">
        <v>5</v>
      </c>
      <c r="M3" s="23" t="s">
        <v>6</v>
      </c>
      <c r="N3" s="23" t="s">
        <v>7</v>
      </c>
    </row>
    <row r="4" spans="1:17" ht="18" customHeight="1">
      <c r="A4" s="8" t="s">
        <v>8</v>
      </c>
      <c r="B4" s="9">
        <v>0</v>
      </c>
      <c r="C4" s="10"/>
      <c r="D4" s="60" t="s">
        <v>9</v>
      </c>
      <c r="E4" s="11" t="s">
        <v>10</v>
      </c>
      <c r="F4" s="12" t="s">
        <v>11</v>
      </c>
      <c r="G4" s="13">
        <v>888</v>
      </c>
      <c r="H4" s="14">
        <v>28</v>
      </c>
      <c r="I4" s="50">
        <f>H4*G4</f>
        <v>24864</v>
      </c>
      <c r="J4" s="51"/>
    </row>
    <row r="5" spans="1:17" ht="18">
      <c r="A5" s="8" t="s">
        <v>12</v>
      </c>
      <c r="B5" s="15">
        <v>0</v>
      </c>
      <c r="C5" s="10" t="str">
        <f>IF(B5&gt;242,"Over Back Seat Weight"," ")</f>
        <v xml:space="preserve"> </v>
      </c>
      <c r="D5" s="61"/>
      <c r="E5" s="16" t="str">
        <f>IF($B$4&lt;154,"Add Ballast",IF($B$4&gt;242,"Over Seat Weight"," "))</f>
        <v>Add Ballast</v>
      </c>
      <c r="F5" s="17" t="s">
        <v>13</v>
      </c>
      <c r="G5" s="18">
        <f>$B$4</f>
        <v>0</v>
      </c>
      <c r="H5" s="19">
        <v>-45.3</v>
      </c>
      <c r="I5" s="52">
        <f>H5*G5</f>
        <v>0</v>
      </c>
      <c r="J5" s="53"/>
    </row>
    <row r="6" spans="1:17" ht="19.5" thickTop="1" thickBot="1">
      <c r="A6" s="20" t="s">
        <v>14</v>
      </c>
      <c r="B6" s="21">
        <f>SUM(B4:B5)</f>
        <v>0</v>
      </c>
      <c r="C6" s="10" t="str">
        <f>IF(G9&lt;0,"Over Gross",IF(G18&lt;0,"Over Gross",IF(G27&lt;0,"Over Gross",IF(G36&lt;0,"Over Gross"," "))))</f>
        <v xml:space="preserve"> </v>
      </c>
      <c r="D6" s="61"/>
      <c r="E6" s="22" t="str">
        <f>IF($B$5&gt;242,"Over Seat Weight"," ")</f>
        <v xml:space="preserve"> </v>
      </c>
      <c r="F6" s="17" t="s">
        <v>15</v>
      </c>
      <c r="G6" s="18">
        <f>$B$5</f>
        <v>0</v>
      </c>
      <c r="H6" s="19">
        <v>1.6</v>
      </c>
      <c r="I6" s="52">
        <f>H6*G6</f>
        <v>0</v>
      </c>
      <c r="J6" s="53" t="s">
        <v>16</v>
      </c>
    </row>
    <row r="7" spans="1:17" ht="16.5" thickBot="1">
      <c r="D7" s="61"/>
      <c r="E7" s="24"/>
      <c r="F7" s="17" t="s">
        <v>17</v>
      </c>
      <c r="G7" s="25">
        <f>SUM(G4:G6)</f>
        <v>888</v>
      </c>
      <c r="H7" s="19"/>
      <c r="I7" s="52">
        <f>SUM(I4:I6)</f>
        <v>24864</v>
      </c>
      <c r="J7" s="54">
        <f>I7/G7</f>
        <v>28</v>
      </c>
    </row>
    <row r="8" spans="1:17" ht="15.75" thickBot="1">
      <c r="D8" s="61"/>
      <c r="E8" s="29"/>
      <c r="F8" s="17" t="s">
        <v>20</v>
      </c>
      <c r="G8" s="25">
        <v>1279</v>
      </c>
      <c r="H8" s="19"/>
      <c r="I8" s="52"/>
      <c r="J8" s="53"/>
    </row>
    <row r="9" spans="1:17" ht="16.5" thickBot="1">
      <c r="A9" s="26" t="s">
        <v>18</v>
      </c>
      <c r="B9" s="27">
        <v>154</v>
      </c>
      <c r="C9" s="28" t="s">
        <v>19</v>
      </c>
      <c r="D9" s="61"/>
      <c r="E9" s="33" t="str">
        <f>IF(G9&lt;0,"OVER GROSS"," ")</f>
        <v xml:space="preserve"> </v>
      </c>
      <c r="F9" s="34" t="s">
        <v>23</v>
      </c>
      <c r="G9" s="35">
        <f>G8-G7</f>
        <v>391</v>
      </c>
      <c r="H9" s="19"/>
      <c r="I9" s="52"/>
      <c r="J9" s="53"/>
      <c r="Q9" s="1">
        <v>410</v>
      </c>
    </row>
    <row r="10" spans="1:17" ht="15.75">
      <c r="A10" s="30" t="s">
        <v>21</v>
      </c>
      <c r="B10" s="31">
        <v>170</v>
      </c>
      <c r="C10" s="32" t="s">
        <v>22</v>
      </c>
      <c r="D10" s="61"/>
      <c r="E10" s="36" t="s">
        <v>25</v>
      </c>
      <c r="F10" s="37"/>
      <c r="G10" s="25"/>
      <c r="H10" s="38" t="s">
        <v>26</v>
      </c>
      <c r="I10" s="55" t="s">
        <v>27</v>
      </c>
      <c r="J10" s="53"/>
      <c r="L10" s="56">
        <f>H11</f>
        <v>10.24</v>
      </c>
      <c r="M10" s="56">
        <f>L11</f>
        <v>12.863333333333333</v>
      </c>
      <c r="N10" s="56">
        <f>M11</f>
        <v>15.486666666666666</v>
      </c>
    </row>
    <row r="11" spans="1:17" ht="29.25" customHeight="1" thickBot="1">
      <c r="A11" s="30" t="s">
        <v>21</v>
      </c>
      <c r="B11" s="31">
        <v>157</v>
      </c>
      <c r="C11" s="32" t="s">
        <v>24</v>
      </c>
      <c r="D11" s="62"/>
      <c r="E11" s="39">
        <f>(J7-H11)/(I11-H11)</f>
        <v>2.2566709021601015</v>
      </c>
      <c r="F11" s="40" t="str">
        <f>IF(E11&lt;0%,"CG Forward Of Front Limit",IF(E11&gt;100%,"CG Aft Of Rear Limit"," "))</f>
        <v>CG Aft Of Rear Limit</v>
      </c>
      <c r="G11" s="41" t="s">
        <v>30</v>
      </c>
      <c r="H11" s="42">
        <v>10.24</v>
      </c>
      <c r="I11" s="57">
        <v>18.11</v>
      </c>
      <c r="J11" s="58"/>
      <c r="K11" s="56">
        <f>($I11-$H11)/3</f>
        <v>2.6233333333333331</v>
      </c>
      <c r="L11" s="56">
        <f>L10+K11</f>
        <v>12.863333333333333</v>
      </c>
      <c r="M11" s="56">
        <f>L11+K11</f>
        <v>15.486666666666666</v>
      </c>
      <c r="N11" s="59">
        <f>I11</f>
        <v>18.11</v>
      </c>
    </row>
    <row r="12" spans="1:17" ht="16.5" thickBot="1">
      <c r="A12" s="30" t="s">
        <v>21</v>
      </c>
      <c r="B12" s="31">
        <v>147</v>
      </c>
      <c r="C12" s="32" t="s">
        <v>47</v>
      </c>
      <c r="D12" s="43"/>
      <c r="K12" s="56"/>
    </row>
    <row r="13" spans="1:17" ht="18.75" thickBot="1">
      <c r="D13" s="60" t="s">
        <v>34</v>
      </c>
      <c r="E13" s="11" t="s">
        <v>35</v>
      </c>
      <c r="F13" s="12" t="s">
        <v>11</v>
      </c>
      <c r="G13" s="13">
        <v>976</v>
      </c>
      <c r="H13" s="14">
        <v>28.1</v>
      </c>
      <c r="I13" s="50">
        <f>H13*G13</f>
        <v>27425.600000000002</v>
      </c>
      <c r="J13" s="51"/>
      <c r="K13" s="56"/>
    </row>
    <row r="14" spans="1:17" ht="15.75" thickBot="1">
      <c r="A14" s="26" t="s">
        <v>28</v>
      </c>
      <c r="B14" s="27">
        <v>242</v>
      </c>
      <c r="C14" s="28" t="s">
        <v>29</v>
      </c>
      <c r="D14" s="61"/>
      <c r="E14" s="16" t="str">
        <f>IF($B$4&lt;157,"Add Ballast",IF($B$4&gt;242,"Over Seat  Weight"," "))</f>
        <v>Add Ballast</v>
      </c>
      <c r="F14" s="17" t="s">
        <v>13</v>
      </c>
      <c r="G14" s="18">
        <f>$B$4</f>
        <v>0</v>
      </c>
      <c r="H14" s="19">
        <v>-44.9</v>
      </c>
      <c r="I14" s="52">
        <f>H14*G14</f>
        <v>0</v>
      </c>
      <c r="J14" s="53"/>
      <c r="K14" s="56"/>
    </row>
    <row r="15" spans="1:17" ht="15.75" thickBot="1">
      <c r="A15" s="26" t="s">
        <v>31</v>
      </c>
      <c r="B15" s="27">
        <v>14</v>
      </c>
      <c r="C15" s="28" t="s">
        <v>32</v>
      </c>
      <c r="D15" s="61"/>
      <c r="E15" s="45" t="str">
        <f>IF($B$5&gt;242,"Over Seat Weight"," ")</f>
        <v xml:space="preserve"> </v>
      </c>
      <c r="F15" s="17" t="s">
        <v>15</v>
      </c>
      <c r="G15" s="18">
        <f>$B$5</f>
        <v>0</v>
      </c>
      <c r="H15" s="19">
        <v>0.4</v>
      </c>
      <c r="I15" s="52">
        <f>H15*G15</f>
        <v>0</v>
      </c>
      <c r="J15" s="53" t="s">
        <v>16</v>
      </c>
      <c r="K15" s="56"/>
    </row>
    <row r="16" spans="1:17" ht="16.5" thickBot="1">
      <c r="A16" s="26" t="s">
        <v>33</v>
      </c>
      <c r="B16" s="27">
        <v>12</v>
      </c>
      <c r="C16" s="28" t="s">
        <v>32</v>
      </c>
      <c r="D16" s="61"/>
      <c r="E16" s="24"/>
      <c r="F16" s="17" t="s">
        <v>17</v>
      </c>
      <c r="G16" s="25">
        <f>SUM(G13:G15)</f>
        <v>976</v>
      </c>
      <c r="H16" s="19"/>
      <c r="I16" s="52">
        <f>SUM(I13:I15)</f>
        <v>27425.600000000002</v>
      </c>
      <c r="J16" s="54">
        <f>I16/G16</f>
        <v>28.1</v>
      </c>
      <c r="K16" s="56"/>
    </row>
    <row r="17" spans="1:14" ht="24.75" thickBot="1">
      <c r="A17" s="44" t="s">
        <v>36</v>
      </c>
      <c r="B17" s="27">
        <v>16</v>
      </c>
      <c r="C17" s="28" t="s">
        <v>32</v>
      </c>
      <c r="D17" s="61"/>
      <c r="E17" s="29"/>
      <c r="F17" s="17" t="s">
        <v>20</v>
      </c>
      <c r="G17" s="25">
        <v>1435</v>
      </c>
      <c r="H17" s="19"/>
      <c r="I17" s="52"/>
      <c r="J17" s="53"/>
      <c r="K17" s="56"/>
    </row>
    <row r="18" spans="1:14" ht="16.5" thickBot="1">
      <c r="D18" s="61"/>
      <c r="E18" s="33" t="str">
        <f>IF(G18&lt;0,"OVER GROSS"," ")</f>
        <v xml:space="preserve"> </v>
      </c>
      <c r="F18" s="34" t="s">
        <v>23</v>
      </c>
      <c r="G18" s="35">
        <f>G17-G16</f>
        <v>459</v>
      </c>
      <c r="H18" s="19"/>
      <c r="I18" s="52"/>
      <c r="J18" s="53"/>
      <c r="K18" s="56"/>
    </row>
    <row r="19" spans="1:14" ht="15.75" customHeight="1">
      <c r="A19" s="46" t="s">
        <v>37</v>
      </c>
      <c r="D19" s="61"/>
      <c r="E19" s="36" t="s">
        <v>25</v>
      </c>
      <c r="F19" s="17"/>
      <c r="G19" s="25"/>
      <c r="H19" s="38" t="s">
        <v>26</v>
      </c>
      <c r="I19" s="55" t="s">
        <v>27</v>
      </c>
      <c r="J19" s="53"/>
      <c r="K19" s="56"/>
      <c r="L19" s="56">
        <f>H20</f>
        <v>10.24</v>
      </c>
      <c r="M19" s="56">
        <f>L20</f>
        <v>12.863333333333333</v>
      </c>
      <c r="N19" s="56">
        <f>M20</f>
        <v>15.486666666666666</v>
      </c>
    </row>
    <row r="20" spans="1:14" ht="30.75" customHeight="1" thickBot="1">
      <c r="D20" s="62"/>
      <c r="E20" s="39">
        <f>(J16-H20)/(I20-H20)</f>
        <v>2.2693773824650574</v>
      </c>
      <c r="F20" s="40" t="str">
        <f>IF(E20&lt;0%,"CGForward Of Front Limit",IF(E20&gt;100%,"CG Aft Of Rear Limit"," "))</f>
        <v>CG Aft Of Rear Limit</v>
      </c>
      <c r="G20" s="41" t="s">
        <v>30</v>
      </c>
      <c r="H20" s="42">
        <v>10.24</v>
      </c>
      <c r="I20" s="57">
        <v>18.11</v>
      </c>
      <c r="J20" s="58"/>
      <c r="K20" s="56">
        <f>($I20-$H20)/3</f>
        <v>2.6233333333333331</v>
      </c>
      <c r="L20" s="56">
        <f>H20+K20</f>
        <v>12.863333333333333</v>
      </c>
      <c r="M20" s="56">
        <f>L20+K20</f>
        <v>15.486666666666666</v>
      </c>
      <c r="N20" s="59">
        <f>I20</f>
        <v>18.11</v>
      </c>
    </row>
    <row r="21" spans="1:14" ht="13.5" thickBot="1">
      <c r="A21" s="48" t="s">
        <v>40</v>
      </c>
      <c r="K21" s="56"/>
    </row>
    <row r="22" spans="1:14" ht="18.75" thickBot="1">
      <c r="D22" s="60" t="s">
        <v>38</v>
      </c>
      <c r="E22" s="11" t="s">
        <v>39</v>
      </c>
      <c r="F22" s="12" t="s">
        <v>11</v>
      </c>
      <c r="G22" s="13">
        <v>915</v>
      </c>
      <c r="H22" s="14">
        <v>29.85</v>
      </c>
      <c r="I22" s="50">
        <f>H22*G22</f>
        <v>27312.75</v>
      </c>
      <c r="J22" s="51"/>
      <c r="K22" s="56"/>
    </row>
    <row r="23" spans="1:14" ht="15.75" thickBot="1">
      <c r="D23" s="61"/>
      <c r="E23" s="16" t="str">
        <f>IF($B$4&lt;170,"Add Ballast",IF($B$4&gt;242,"Over Seat Weight"," "))</f>
        <v>Add Ballast</v>
      </c>
      <c r="F23" s="17" t="s">
        <v>13</v>
      </c>
      <c r="G23" s="18">
        <f>$B$4</f>
        <v>0</v>
      </c>
      <c r="H23" s="19">
        <v>-45.3</v>
      </c>
      <c r="I23" s="52">
        <f>H23*G23</f>
        <v>0</v>
      </c>
      <c r="J23" s="53"/>
      <c r="K23" s="56"/>
    </row>
    <row r="24" spans="1:14" ht="15">
      <c r="D24" s="61"/>
      <c r="E24" s="45" t="str">
        <f>IF($B$5&gt;242,"Over Seat Weight"," ")</f>
        <v xml:space="preserve"> </v>
      </c>
      <c r="F24" s="17" t="s">
        <v>15</v>
      </c>
      <c r="G24" s="18">
        <f>$B$5</f>
        <v>0</v>
      </c>
      <c r="H24" s="19">
        <v>1.6</v>
      </c>
      <c r="I24" s="52">
        <f>H24*G24</f>
        <v>0</v>
      </c>
      <c r="J24" s="53" t="s">
        <v>16</v>
      </c>
      <c r="K24" s="56"/>
    </row>
    <row r="25" spans="1:14" ht="15.75">
      <c r="D25" s="61"/>
      <c r="E25" s="47"/>
      <c r="F25" s="17" t="s">
        <v>17</v>
      </c>
      <c r="G25" s="25">
        <f>SUM(G22:G24)</f>
        <v>915</v>
      </c>
      <c r="H25" s="19"/>
      <c r="I25" s="52">
        <f>SUM(I22:I24)</f>
        <v>27312.75</v>
      </c>
      <c r="J25" s="54">
        <f>I25/G25</f>
        <v>29.85</v>
      </c>
      <c r="K25" s="56"/>
    </row>
    <row r="26" spans="1:14" ht="15">
      <c r="D26" s="61"/>
      <c r="E26" s="29"/>
      <c r="F26" s="17" t="s">
        <v>20</v>
      </c>
      <c r="G26" s="25">
        <v>1279</v>
      </c>
      <c r="H26" s="19"/>
      <c r="I26" s="52"/>
      <c r="J26" s="53"/>
      <c r="K26" s="56"/>
    </row>
    <row r="27" spans="1:14" ht="16.5" thickBot="1">
      <c r="D27" s="61"/>
      <c r="E27" s="33" t="str">
        <f>IF(G27&lt;0,"OVER GROSS"," ")</f>
        <v xml:space="preserve"> </v>
      </c>
      <c r="F27" s="34" t="s">
        <v>23</v>
      </c>
      <c r="G27" s="35">
        <f>G26-G25</f>
        <v>364</v>
      </c>
      <c r="H27" s="19"/>
      <c r="I27" s="52"/>
      <c r="J27" s="53"/>
      <c r="K27" s="56"/>
    </row>
    <row r="28" spans="1:14" ht="15">
      <c r="D28" s="61"/>
      <c r="E28" s="36" t="s">
        <v>25</v>
      </c>
      <c r="F28" s="17"/>
      <c r="G28" s="25"/>
      <c r="H28" s="38" t="s">
        <v>26</v>
      </c>
      <c r="I28" s="55" t="s">
        <v>27</v>
      </c>
      <c r="J28" s="53"/>
      <c r="K28" s="56"/>
      <c r="L28" s="56">
        <f>H29</f>
        <v>10.24</v>
      </c>
      <c r="M28" s="56">
        <f>L29</f>
        <v>12.863333333333333</v>
      </c>
      <c r="N28" s="56">
        <f>M29</f>
        <v>15.486666666666666</v>
      </c>
    </row>
    <row r="29" spans="1:14" ht="33" customHeight="1" thickBot="1">
      <c r="A29" s="48"/>
      <c r="D29" s="62"/>
      <c r="E29" s="39">
        <f>(J25-H29)/(I29-H29)</f>
        <v>2.491740787801779</v>
      </c>
      <c r="F29" s="40" t="str">
        <f>IF(E29&lt;0%,"CGForward Of Front Limit",IF(E29&gt;100%,"CG Aft Of Rear Limit"," "))</f>
        <v>CG Aft Of Rear Limit</v>
      </c>
      <c r="G29" s="41" t="s">
        <v>30</v>
      </c>
      <c r="H29" s="42">
        <v>10.24</v>
      </c>
      <c r="I29" s="57">
        <v>18.11</v>
      </c>
      <c r="J29" s="58"/>
      <c r="K29" s="56">
        <f>($I29-$H29)/3</f>
        <v>2.6233333333333331</v>
      </c>
      <c r="L29" s="56">
        <f>H29+K29</f>
        <v>12.863333333333333</v>
      </c>
      <c r="M29" s="56">
        <f>L29+K29</f>
        <v>15.486666666666666</v>
      </c>
      <c r="N29" s="59">
        <f>I29</f>
        <v>18.11</v>
      </c>
    </row>
    <row r="31" spans="1:14" ht="18">
      <c r="D31" s="60" t="s">
        <v>41</v>
      </c>
      <c r="E31" s="11" t="s">
        <v>42</v>
      </c>
      <c r="F31" s="12" t="s">
        <v>11</v>
      </c>
      <c r="G31" s="49">
        <v>940</v>
      </c>
      <c r="H31" s="14">
        <v>28.26</v>
      </c>
      <c r="I31" s="50">
        <f>H31*G31</f>
        <v>26564.400000000001</v>
      </c>
      <c r="J31" s="51"/>
    </row>
    <row r="32" spans="1:14" ht="15">
      <c r="B32" s="48"/>
      <c r="C32" s="48"/>
      <c r="D32" s="61"/>
      <c r="E32" s="16" t="str">
        <f>IF($B$4&lt;154,"Add Ballast",IF($B$4&gt;242,"Over Seat Weight"," "))</f>
        <v>Add Ballast</v>
      </c>
      <c r="F32" s="17" t="s">
        <v>13</v>
      </c>
      <c r="G32" s="18">
        <f>$B$4</f>
        <v>0</v>
      </c>
      <c r="H32" s="19">
        <v>-44.9</v>
      </c>
      <c r="I32" s="52">
        <f>H32*G32</f>
        <v>0</v>
      </c>
      <c r="J32" s="53"/>
    </row>
    <row r="33" spans="1:10" ht="15">
      <c r="B33" s="48"/>
      <c r="C33" s="48"/>
      <c r="D33" s="61"/>
      <c r="E33" s="45" t="str">
        <f>IF($B$5&gt;242,"Over Seat Weight"," ")</f>
        <v xml:space="preserve"> </v>
      </c>
      <c r="F33" s="17" t="s">
        <v>15</v>
      </c>
      <c r="G33" s="18">
        <f>$B$5</f>
        <v>0</v>
      </c>
      <c r="H33" s="19">
        <v>0.4</v>
      </c>
      <c r="I33" s="52">
        <f>H33*G33</f>
        <v>0</v>
      </c>
      <c r="J33" s="53" t="s">
        <v>16</v>
      </c>
    </row>
    <row r="34" spans="1:10" ht="15.75">
      <c r="C34" s="48"/>
      <c r="D34" s="61"/>
      <c r="E34" s="47"/>
      <c r="F34" s="17" t="s">
        <v>17</v>
      </c>
      <c r="G34" s="25">
        <f>SUM(G31:G33)</f>
        <v>940</v>
      </c>
      <c r="H34" s="19"/>
      <c r="I34" s="52">
        <f>SUM(I31:I33)</f>
        <v>26564.400000000001</v>
      </c>
      <c r="J34" s="54">
        <f>I34/G34</f>
        <v>28.26</v>
      </c>
    </row>
    <row r="35" spans="1:10" ht="15">
      <c r="D35" s="61"/>
      <c r="E35" s="29"/>
      <c r="F35" s="17" t="s">
        <v>20</v>
      </c>
      <c r="G35" s="25">
        <v>1435</v>
      </c>
      <c r="H35" s="19"/>
      <c r="I35" s="52"/>
      <c r="J35" s="53"/>
    </row>
    <row r="36" spans="1:10" ht="15.75">
      <c r="D36" s="61"/>
      <c r="E36" s="33" t="str">
        <f>IF(G36&lt;0,"OVER GROSS"," ")</f>
        <v xml:space="preserve"> </v>
      </c>
      <c r="F36" s="34" t="s">
        <v>23</v>
      </c>
      <c r="G36" s="35">
        <f>G35-G34</f>
        <v>495</v>
      </c>
      <c r="H36" s="19"/>
      <c r="I36" s="52"/>
      <c r="J36" s="53"/>
    </row>
    <row r="37" spans="1:10" ht="15">
      <c r="D37" s="61"/>
      <c r="E37" s="36" t="s">
        <v>25</v>
      </c>
      <c r="F37" s="17"/>
      <c r="G37" s="25"/>
      <c r="H37" s="38" t="s">
        <v>26</v>
      </c>
      <c r="I37" s="55" t="s">
        <v>27</v>
      </c>
      <c r="J37" s="53"/>
    </row>
    <row r="38" spans="1:10" ht="30">
      <c r="D38" s="62"/>
      <c r="E38" s="39">
        <f>(J34-H38)/(I38-H38)</f>
        <v>2.2897077509529868</v>
      </c>
      <c r="F38" s="40" t="str">
        <f>IF(E38&lt;0%,"CGForward Of Front Limit",IF(E38&gt;100%,"CG Aft Of Rear Limit"," "))</f>
        <v>CG Aft Of Rear Limit</v>
      </c>
      <c r="G38" s="41" t="s">
        <v>30</v>
      </c>
      <c r="H38" s="42">
        <v>10.24</v>
      </c>
      <c r="I38" s="57">
        <v>18.11</v>
      </c>
      <c r="J38" s="58"/>
    </row>
    <row r="40" spans="1:10" ht="18">
      <c r="D40" s="60" t="s">
        <v>43</v>
      </c>
      <c r="E40" s="11" t="s">
        <v>44</v>
      </c>
      <c r="F40" s="12" t="s">
        <v>11</v>
      </c>
      <c r="G40" s="49">
        <v>958</v>
      </c>
      <c r="H40" s="14">
        <v>28.75</v>
      </c>
      <c r="I40" s="50">
        <f>H40*G40</f>
        <v>27542.5</v>
      </c>
      <c r="J40" s="51"/>
    </row>
    <row r="41" spans="1:10" ht="15">
      <c r="A41" s="1" t="s">
        <v>45</v>
      </c>
      <c r="D41" s="61"/>
      <c r="E41" s="16" t="str">
        <f>IF($B$4&lt;154,"Add Ballast",IF($B$4&gt;242,"Over Seat Weight"," "))</f>
        <v>Add Ballast</v>
      </c>
      <c r="F41" s="17" t="s">
        <v>13</v>
      </c>
      <c r="G41" s="18">
        <f>$B$4</f>
        <v>0</v>
      </c>
      <c r="H41" s="19">
        <v>-44.9</v>
      </c>
      <c r="I41" s="52">
        <f>H41*G41</f>
        <v>0</v>
      </c>
      <c r="J41" s="53"/>
    </row>
    <row r="42" spans="1:10" ht="15">
      <c r="D42" s="61"/>
      <c r="E42" s="45" t="str">
        <f>IF($B$5&gt;242,"Over Seat Weight"," ")</f>
        <v xml:space="preserve"> </v>
      </c>
      <c r="F42" s="17" t="s">
        <v>15</v>
      </c>
      <c r="G42" s="18">
        <f>$B$5</f>
        <v>0</v>
      </c>
      <c r="H42" s="19">
        <v>0.4</v>
      </c>
      <c r="I42" s="52">
        <f>H42*G42</f>
        <v>0</v>
      </c>
      <c r="J42" s="53" t="s">
        <v>16</v>
      </c>
    </row>
    <row r="43" spans="1:10" ht="15.75">
      <c r="D43" s="61"/>
      <c r="E43" s="47"/>
      <c r="F43" s="17" t="s">
        <v>17</v>
      </c>
      <c r="G43" s="25">
        <f>SUM(G40:G42)</f>
        <v>958</v>
      </c>
      <c r="H43" s="19"/>
      <c r="I43" s="52">
        <f>SUM(I40:I42)</f>
        <v>27542.5</v>
      </c>
      <c r="J43" s="54">
        <f>I43/G43</f>
        <v>28.75</v>
      </c>
    </row>
    <row r="44" spans="1:10" ht="15">
      <c r="D44" s="61"/>
      <c r="E44" s="29"/>
      <c r="F44" s="17" t="s">
        <v>20</v>
      </c>
      <c r="G44" s="25">
        <v>1435</v>
      </c>
      <c r="H44" s="19"/>
      <c r="I44" s="52"/>
      <c r="J44" s="53"/>
    </row>
    <row r="45" spans="1:10" ht="15.75">
      <c r="D45" s="61"/>
      <c r="E45" s="33" t="str">
        <f>IF(G45&lt;0,"OVER GROSS"," ")</f>
        <v xml:space="preserve"> </v>
      </c>
      <c r="F45" s="34" t="s">
        <v>23</v>
      </c>
      <c r="G45" s="35">
        <f>G44-G43</f>
        <v>477</v>
      </c>
      <c r="H45" s="19"/>
      <c r="I45" s="52"/>
      <c r="J45" s="53"/>
    </row>
    <row r="46" spans="1:10" ht="15">
      <c r="D46" s="61"/>
      <c r="E46" s="36" t="s">
        <v>25</v>
      </c>
      <c r="F46" s="17"/>
      <c r="G46" s="25"/>
      <c r="H46" s="38" t="s">
        <v>26</v>
      </c>
      <c r="I46" s="55" t="s">
        <v>27</v>
      </c>
      <c r="J46" s="53"/>
    </row>
    <row r="47" spans="1:10" ht="30">
      <c r="D47" s="62"/>
      <c r="E47" s="39">
        <f>(J43-H47)/(I47-H47)</f>
        <v>2.3519695044472679</v>
      </c>
      <c r="F47" s="40" t="str">
        <f>IF(E47&lt;0%,"CGForward Of Front Limit",IF(E47&gt;100%,"CG Aft Of Rear Limit"," "))</f>
        <v>CG Aft Of Rear Limit</v>
      </c>
      <c r="G47" s="41" t="s">
        <v>30</v>
      </c>
      <c r="H47" s="42">
        <v>10.24</v>
      </c>
      <c r="I47" s="57">
        <v>18.11</v>
      </c>
      <c r="J47" s="58"/>
    </row>
    <row r="48" spans="1:10" ht="13.5" thickBot="1"/>
    <row r="49" spans="4:10" ht="18.75" thickBot="1">
      <c r="D49" s="60" t="s">
        <v>48</v>
      </c>
      <c r="E49" s="11" t="s">
        <v>46</v>
      </c>
      <c r="F49" s="12" t="s">
        <v>11</v>
      </c>
      <c r="G49" s="49">
        <v>566</v>
      </c>
      <c r="H49" s="14">
        <v>25.73</v>
      </c>
      <c r="I49" s="50">
        <f>H49*G49</f>
        <v>14563.18</v>
      </c>
      <c r="J49" s="51"/>
    </row>
    <row r="50" spans="4:10" ht="15.75" thickBot="1">
      <c r="D50" s="61"/>
      <c r="E50" s="16" t="str">
        <f>IF($B$4&lt;154,"Add Ballast",IF($B$4&gt;242,"Over Seat Weight"," "))</f>
        <v>Add Ballast</v>
      </c>
      <c r="F50" s="17" t="s">
        <v>13</v>
      </c>
      <c r="G50" s="18">
        <f>$B$4</f>
        <v>0</v>
      </c>
      <c r="H50" s="19">
        <v>-20.9</v>
      </c>
      <c r="I50" s="52">
        <f>H50*G50</f>
        <v>0</v>
      </c>
      <c r="J50" s="53"/>
    </row>
    <row r="51" spans="4:10" ht="16.5" thickBot="1">
      <c r="D51" s="61"/>
      <c r="E51" s="47"/>
      <c r="F51" s="17" t="s">
        <v>17</v>
      </c>
      <c r="G51" s="25">
        <f>SUM(G49:G50)</f>
        <v>566</v>
      </c>
      <c r="H51" s="19"/>
      <c r="I51" s="52">
        <f>SUM(I49:I50)</f>
        <v>14563.18</v>
      </c>
      <c r="J51" s="54">
        <f>I51/G51</f>
        <v>25.73</v>
      </c>
    </row>
    <row r="52" spans="4:10" ht="15.75" thickBot="1">
      <c r="D52" s="61"/>
      <c r="E52" s="29"/>
      <c r="F52" s="17" t="s">
        <v>20</v>
      </c>
      <c r="G52" s="25">
        <v>770</v>
      </c>
      <c r="H52" s="19"/>
      <c r="I52" s="52"/>
      <c r="J52" s="53"/>
    </row>
    <row r="53" spans="4:10" ht="16.5" thickBot="1">
      <c r="D53" s="61"/>
      <c r="E53" s="33" t="str">
        <f>IF(G53&lt;0,"OVER GROSS"," ")</f>
        <v xml:space="preserve"> </v>
      </c>
      <c r="F53" s="34" t="s">
        <v>23</v>
      </c>
      <c r="G53" s="35">
        <f>G52-G51</f>
        <v>204</v>
      </c>
      <c r="H53" s="19"/>
      <c r="I53" s="52"/>
      <c r="J53" s="53"/>
    </row>
    <row r="54" spans="4:10" ht="15">
      <c r="D54" s="61"/>
      <c r="E54" s="36" t="s">
        <v>25</v>
      </c>
      <c r="F54" s="17"/>
      <c r="G54" s="25"/>
      <c r="H54" s="38" t="s">
        <v>26</v>
      </c>
      <c r="I54" s="55" t="s">
        <v>27</v>
      </c>
      <c r="J54" s="53"/>
    </row>
    <row r="55" spans="4:10" ht="30.75" thickBot="1">
      <c r="D55" s="62"/>
      <c r="E55" s="39">
        <f>(J51-H55)/(I55-H55)</f>
        <v>2.6781818181818182</v>
      </c>
      <c r="F55" s="40" t="str">
        <f>IF(E55&lt;0%,"CGForward Of Front Limit",IF(E55&gt;100%,"CG Aft Of Rear Limit"," "))</f>
        <v>CG Aft Of Rear Limit</v>
      </c>
      <c r="G55" s="41" t="s">
        <v>30</v>
      </c>
      <c r="H55" s="42">
        <v>11</v>
      </c>
      <c r="I55" s="57">
        <v>16.5</v>
      </c>
      <c r="J55" s="58"/>
    </row>
  </sheetData>
  <mergeCells count="6">
    <mergeCell ref="D49:D55"/>
    <mergeCell ref="D4:D11"/>
    <mergeCell ref="D13:D20"/>
    <mergeCell ref="D22:D29"/>
    <mergeCell ref="D31:D38"/>
    <mergeCell ref="D40:D47"/>
  </mergeCells>
  <pageMargins left="0.75" right="0.75" top="1" bottom="1" header="0.5" footer="0.5"/>
  <pageSetup scale="5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 CG Calc</vt:lpstr>
    </vt:vector>
  </TitlesOfParts>
  <Company>K/P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Bates</dc:creator>
  <cp:lastModifiedBy>David</cp:lastModifiedBy>
  <dcterms:created xsi:type="dcterms:W3CDTF">2007-05-06T21:26:00Z</dcterms:created>
  <dcterms:modified xsi:type="dcterms:W3CDTF">2018-09-17T14:00:57Z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